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01.07.2016" sheetId="7" r:id="rId1"/>
  </sheets>
  <definedNames>
    <definedName name="_xlnm._FilterDatabase" localSheetId="0" hidden="1">'01.07.2016'!$A$3:$CV$9</definedName>
    <definedName name="Z_8F857505_99F7_44A0_9311_0C036734EE4E_.wvu.Cols" localSheetId="0" hidden="1">'01.07.2016'!$M:$M,'01.07.2016'!$O:$O,'01.07.2016'!$Q:$Q</definedName>
    <definedName name="Z_8F857505_99F7_44A0_9311_0C036734EE4E_.wvu.FilterData" localSheetId="0" hidden="1">'01.07.2016'!$A$3:$CV$9</definedName>
    <definedName name="Z_8F857505_99F7_44A0_9311_0C036734EE4E_.wvu.PrintTitles" localSheetId="0" hidden="1">'01.07.2016'!$A:$A</definedName>
    <definedName name="Z_A2FD971F_E944_4D74_B779_A0EFF498D9F4_.wvu.FilterData" localSheetId="0" hidden="1">'01.07.2016'!$A$3:$CV$9</definedName>
    <definedName name="Z_A9585D8F_84FF_4B47_8C73_1E41499AFDEF_.wvu.FilterData" localSheetId="0" hidden="1">'01.07.2016'!$A$3:$CV$9</definedName>
    <definedName name="Z_C25F2E07_26D8_4FF3_99D5_BF02F5F80659_.wvu.FilterData" localSheetId="0" hidden="1">'01.07.2016'!$A$3:$CV$9</definedName>
    <definedName name="Z_F8663FA0_0F1B_4DD5_86AB_0F7B7AF3784A_.wvu.FilterData" localSheetId="0" hidden="1">'01.07.2016'!$A$3:$CV$9</definedName>
    <definedName name="_xlnm.Print_Titles" localSheetId="0">'01.07.2016'!$A:$A</definedName>
    <definedName name="_xlnm.Print_Area" localSheetId="0">'01.07.2016'!$A$1:$CV$9</definedName>
  </definedNames>
  <calcPr calcId="124519"/>
  <customWorkbookViews>
    <customWorkbookView name="predeina - Личное представление" guid="{8F857505-99F7-44A0-9311-0C036734EE4E}" mergeInterval="0" personalView="1" maximized="1" xWindow="1" yWindow="1" windowWidth="1916" windowHeight="859" activeSheetId="7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user - Личное представление" guid="{E6E35B51-2B6C-4505-80DA-44E3E0129050}" mergeInterval="0" personalView="1" maximized="1" windowWidth="1276" windowHeight="878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mikrukova - Личное представление" guid="{3827CA41-612C-450D-8ED8-1EB24926E0AE}" mergeInterval="0" personalView="1" maximized="1" xWindow="1" yWindow="1" windowWidth="1596" windowHeight="679" activeSheetId="5"/>
  </customWorkbookViews>
</workbook>
</file>

<file path=xl/calcChain.xml><?xml version="1.0" encoding="utf-8"?>
<calcChain xmlns="http://schemas.openxmlformats.org/spreadsheetml/2006/main">
  <c r="BH4" i="7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7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8" l="1"/>
  <c r="B7"/>
  <c r="B6"/>
  <c r="B5"/>
  <c r="B4"/>
  <c r="BC9"/>
  <c r="C8" l="1"/>
  <c r="C4"/>
  <c r="C5"/>
  <c r="C6"/>
  <c r="C7"/>
</calcChain>
</file>

<file path=xl/sharedStrings.xml><?xml version="1.0" encoding="utf-8"?>
<sst xmlns="http://schemas.openxmlformats.org/spreadsheetml/2006/main" count="188" uniqueCount="124">
  <si>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</si>
  <si>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</si>
  <si>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</si>
  <si>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</si>
  <si>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</si>
  <si>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</si>
  <si>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</si>
  <si>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</si>
  <si>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</si>
  <si>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</si>
  <si>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</si>
  <si>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</si>
  <si>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</si>
  <si>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</si>
  <si>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</si>
  <si>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</si>
  <si>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</si>
  <si>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</si>
  <si>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</si>
  <si>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</si>
  <si>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</si>
  <si>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</si>
  <si>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</si>
  <si>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</si>
  <si>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</si>
  <si>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</si>
  <si>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</si>
  <si>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</si>
  <si>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</si>
  <si>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</si>
  <si>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</si>
  <si>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</si>
  <si>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</si>
  <si>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</si>
  <si>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</si>
  <si>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</si>
  <si>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</si>
  <si>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</si>
  <si>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</si>
  <si>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</si>
  <si>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</si>
  <si>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</si>
  <si>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</si>
  <si>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</si>
  <si>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</si>
  <si>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</si>
  <si>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</si>
  <si>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</si>
  <si>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</si>
  <si>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</si>
  <si>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</si>
  <si>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</si>
  <si>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</si>
  <si>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</si>
  <si>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4. Пачинское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</si>
  <si>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</si>
  <si>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</si>
  <si>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</si>
  <si>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</si>
  <si>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</si>
  <si>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</si>
  <si>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</si>
  <si>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</si>
  <si>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</si>
  <si>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</si>
  <si>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</si>
  <si>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</si>
  <si>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</si>
  <si>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</si>
  <si>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</si>
  <si>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</si>
  <si>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</si>
  <si>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</si>
  <si>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</si>
  <si>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</si>
  <si>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</si>
  <si>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</si>
  <si>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</si>
  <si>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</si>
  <si>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</si>
  <si>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</si>
  <si>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</si>
  <si>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</si>
  <si>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</si>
  <si>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</si>
  <si>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</si>
  <si>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</si>
  <si>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</si>
  <si>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</si>
  <si>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</si>
  <si>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</si>
  <si>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</si>
  <si>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</si>
  <si>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</si>
  <si>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</si>
  <si>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</si>
  <si>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</si>
  <si>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</si>
  <si>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</si>
  <si>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Постановление 28.08.2013 № 43; 29.08.2013 № 44</t>
  </si>
  <si>
    <t>Постановление 29.08.2013 № 48; 14.10.2013 №59</t>
  </si>
  <si>
    <t>Постановление 09.07.2013 №№ 97,98</t>
  </si>
  <si>
    <t>на информ. стенде</t>
  </si>
  <si>
    <t xml:space="preserve">Постановление 30.08.2013 № 58; </t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</si>
  <si>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</si>
  <si>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</si>
  <si>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</si>
  <si>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</si>
  <si>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Постановление 23.08.2011 № 35; 31.08.2011 № 23</t>
  </si>
  <si>
    <t>на информ. стенде и официальном сайте</t>
  </si>
  <si>
    <t>Решение Думы от 04.12.2015 № 40/144</t>
  </si>
  <si>
    <t>Решение Думы от 18.12.2015 № 39/168</t>
  </si>
  <si>
    <t>Постановление от 28.12.2014 № 123</t>
  </si>
  <si>
    <t>Решение Думы от 28.09.2015 № 29/132</t>
  </si>
  <si>
    <t>Постановление от 20.01.2016 № 8</t>
  </si>
  <si>
    <t>на сайте: mo.nir.my1.ru/власть/администрация/Постановление от 19.04.2016 № 48</t>
  </si>
  <si>
    <t>Постановление от 18.01.2016 № 1</t>
  </si>
  <si>
    <t>Решение Думы от 25.05.2012 № 52/279</t>
  </si>
  <si>
    <t>Постановление от 25.12.2015 № 309</t>
  </si>
  <si>
    <t>на сайте: gorod.tuzha.ru/bulleten/№ 35</t>
  </si>
  <si>
    <t>Решение Думы от 17.04.207 № 4</t>
  </si>
  <si>
    <t>Мониторинг оценки  качества организации и осуществления бюджетного процесса на 01.07.2016 года</t>
  </si>
  <si>
    <t>на сайте: mo.mihailovskoe.tuzha.ru/муниципальные программы/Отчет за 2015 год об исполнении плана реализации МП Михайловского с/поселения</t>
  </si>
  <si>
    <t>на сайте: gorod.tuzha.ru/главная/муниципальные программы/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</si>
</sst>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10" fillId="0" borderId="0" xfId="0" applyFont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topLeftCell="CO1" zoomScale="130" zoomScaleNormal="130" workbookViewId="0">
      <selection activeCell="CS8" sqref="CS8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121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82.5" customHeight="1">
      <c r="A2" s="64" t="s">
        <v>0</v>
      </c>
      <c r="B2" s="64" t="s">
        <v>22</v>
      </c>
      <c r="C2" s="64" t="s">
        <v>23</v>
      </c>
      <c r="D2" s="106" t="s">
        <v>76</v>
      </c>
      <c r="E2" s="108"/>
      <c r="F2" s="108"/>
      <c r="G2" s="108"/>
      <c r="H2" s="108"/>
      <c r="I2" s="108"/>
      <c r="J2" s="108"/>
      <c r="K2" s="107"/>
      <c r="L2" s="106" t="s">
        <v>77</v>
      </c>
      <c r="M2" s="108"/>
      <c r="N2" s="108"/>
      <c r="O2" s="108"/>
      <c r="P2" s="108"/>
      <c r="Q2" s="108"/>
      <c r="R2" s="108"/>
      <c r="S2" s="108"/>
      <c r="T2" s="108"/>
      <c r="U2" s="107"/>
      <c r="V2" s="106" t="s">
        <v>78</v>
      </c>
      <c r="W2" s="108"/>
      <c r="X2" s="108"/>
      <c r="Y2" s="108"/>
      <c r="Z2" s="107"/>
      <c r="AA2" s="106" t="s">
        <v>79</v>
      </c>
      <c r="AB2" s="108"/>
      <c r="AC2" s="108"/>
      <c r="AD2" s="108"/>
      <c r="AE2" s="108"/>
      <c r="AF2" s="107"/>
      <c r="AG2" s="106" t="s">
        <v>57</v>
      </c>
      <c r="AH2" s="108"/>
      <c r="AI2" s="108"/>
      <c r="AJ2" s="108"/>
      <c r="AK2" s="108"/>
      <c r="AL2" s="107"/>
      <c r="AM2" s="106" t="s">
        <v>81</v>
      </c>
      <c r="AN2" s="108"/>
      <c r="AO2" s="108"/>
      <c r="AP2" s="108"/>
      <c r="AQ2" s="107"/>
      <c r="AR2" s="106" t="s">
        <v>60</v>
      </c>
      <c r="AS2" s="108"/>
      <c r="AT2" s="108"/>
      <c r="AU2" s="108"/>
      <c r="AV2" s="107"/>
      <c r="AW2" s="106" t="s">
        <v>98</v>
      </c>
      <c r="AX2" s="108"/>
      <c r="AY2" s="108"/>
      <c r="AZ2" s="107"/>
      <c r="BA2" s="106" t="s">
        <v>62</v>
      </c>
      <c r="BB2" s="108"/>
      <c r="BC2" s="108"/>
      <c r="BD2" s="108"/>
      <c r="BE2" s="107"/>
      <c r="BF2" s="106" t="s">
        <v>84</v>
      </c>
      <c r="BG2" s="108"/>
      <c r="BH2" s="108"/>
      <c r="BI2" s="107"/>
      <c r="BJ2" s="106" t="s">
        <v>86</v>
      </c>
      <c r="BK2" s="108"/>
      <c r="BL2" s="108"/>
      <c r="BM2" s="107"/>
      <c r="BN2" s="106" t="s">
        <v>63</v>
      </c>
      <c r="BO2" s="108"/>
      <c r="BP2" s="108"/>
      <c r="BQ2" s="108"/>
      <c r="BR2" s="108"/>
      <c r="BS2" s="107"/>
      <c r="BT2" s="106" t="s">
        <v>64</v>
      </c>
      <c r="BU2" s="107"/>
      <c r="BV2" s="106" t="s">
        <v>93</v>
      </c>
      <c r="BW2" s="107"/>
      <c r="BX2" s="106" t="s">
        <v>65</v>
      </c>
      <c r="BY2" s="107"/>
      <c r="BZ2" s="106" t="s">
        <v>66</v>
      </c>
      <c r="CA2" s="107"/>
      <c r="CB2" s="106" t="s">
        <v>88</v>
      </c>
      <c r="CC2" s="107"/>
      <c r="CD2" s="106" t="s">
        <v>68</v>
      </c>
      <c r="CE2" s="107"/>
      <c r="CF2" s="106" t="s">
        <v>73</v>
      </c>
      <c r="CG2" s="107"/>
      <c r="CH2" s="106" t="s">
        <v>70</v>
      </c>
      <c r="CI2" s="107"/>
      <c r="CJ2" s="106" t="s">
        <v>72</v>
      </c>
      <c r="CK2" s="107"/>
      <c r="CL2" s="106" t="s">
        <v>89</v>
      </c>
      <c r="CM2" s="108"/>
      <c r="CN2" s="108"/>
      <c r="CO2" s="108"/>
      <c r="CP2" s="108"/>
      <c r="CQ2" s="108"/>
      <c r="CR2" s="107"/>
      <c r="CS2" s="106" t="s">
        <v>74</v>
      </c>
      <c r="CT2" s="107"/>
      <c r="CU2" s="106" t="s">
        <v>75</v>
      </c>
      <c r="CV2" s="107"/>
    </row>
    <row r="3" spans="1:100" s="65" customFormat="1" ht="117.7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94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104</v>
      </c>
      <c r="O3" s="71" t="s">
        <v>7</v>
      </c>
      <c r="P3" s="68" t="s">
        <v>105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80</v>
      </c>
      <c r="AH3" s="77" t="s">
        <v>95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8" t="s">
        <v>58</v>
      </c>
      <c r="AS3" s="88" t="s">
        <v>59</v>
      </c>
      <c r="AT3" s="89" t="s">
        <v>1</v>
      </c>
      <c r="AU3" s="90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61</v>
      </c>
      <c r="BA3" s="74" t="s">
        <v>82</v>
      </c>
      <c r="BB3" s="84" t="s">
        <v>83</v>
      </c>
      <c r="BC3" s="74" t="s">
        <v>1</v>
      </c>
      <c r="BD3" s="74" t="s">
        <v>97</v>
      </c>
      <c r="BE3" s="74" t="s">
        <v>43</v>
      </c>
      <c r="BF3" s="82" t="s">
        <v>85</v>
      </c>
      <c r="BG3" s="83" t="s">
        <v>107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87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100" t="s">
        <v>96</v>
      </c>
      <c r="CC3" s="74" t="s">
        <v>2</v>
      </c>
      <c r="CD3" s="93" t="s">
        <v>67</v>
      </c>
      <c r="CE3" s="88" t="s">
        <v>2</v>
      </c>
      <c r="CF3" s="88" t="s">
        <v>92</v>
      </c>
      <c r="CG3" s="88" t="s">
        <v>2</v>
      </c>
      <c r="CH3" s="93" t="s">
        <v>71</v>
      </c>
      <c r="CI3" s="88" t="s">
        <v>2</v>
      </c>
      <c r="CJ3" s="95" t="s">
        <v>69</v>
      </c>
      <c r="CK3" s="88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90</v>
      </c>
      <c r="CT3" s="88" t="s">
        <v>2</v>
      </c>
      <c r="CU3" s="74" t="s">
        <v>91</v>
      </c>
      <c r="CV3" s="88" t="s">
        <v>2</v>
      </c>
    </row>
    <row r="4" spans="1:100" s="6" customFormat="1" ht="27.75" customHeight="1">
      <c r="A4" s="41" t="s">
        <v>106</v>
      </c>
      <c r="B4" s="41">
        <f>K4+U4+Z4+AF4+AL4+AQ4+AV4+AZ4+BE4+BI4+BM4+BS4+BU4+BW4+BY4+CA4+CC4+CE4+CG4+CI4+CK4+CR4+CT4+CV4</f>
        <v>8</v>
      </c>
      <c r="C4" s="41">
        <f>RANK(B4,B$4:B$8)</f>
        <v>5</v>
      </c>
      <c r="D4" s="42">
        <v>355.6</v>
      </c>
      <c r="E4" s="42">
        <v>1212.2</v>
      </c>
      <c r="F4" s="42">
        <v>857.8</v>
      </c>
      <c r="G4" s="43">
        <v>0</v>
      </c>
      <c r="H4" s="43">
        <v>355.6</v>
      </c>
      <c r="I4" s="45">
        <f>(D4-H4)/(E4-F4-G4)</f>
        <v>0</v>
      </c>
      <c r="J4" s="46" t="s">
        <v>11</v>
      </c>
      <c r="K4" s="86">
        <f>IF(I4&lt;=0.05,1,0)</f>
        <v>1</v>
      </c>
      <c r="L4" s="42">
        <v>0</v>
      </c>
      <c r="M4" s="47"/>
      <c r="N4" s="42">
        <v>1519</v>
      </c>
      <c r="O4" s="42"/>
      <c r="P4" s="42">
        <v>1063.7</v>
      </c>
      <c r="Q4" s="47"/>
      <c r="R4" s="44">
        <v>0</v>
      </c>
      <c r="S4" s="48">
        <f>(L4-R4)/(N4-P4-R4)</f>
        <v>0</v>
      </c>
      <c r="T4" s="46" t="s">
        <v>14</v>
      </c>
      <c r="U4" s="86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6">
        <f t="shared" ref="Z4:Z8" si="1">IF(X4&lt;=1,1,0)</f>
        <v>1</v>
      </c>
      <c r="AA4" s="47">
        <v>0</v>
      </c>
      <c r="AB4" s="43">
        <v>1435.2</v>
      </c>
      <c r="AC4" s="42">
        <v>22.6</v>
      </c>
      <c r="AD4" s="49">
        <f t="shared" ref="AD4:AD8" si="2">AA4/(AB4-AC4)</f>
        <v>0</v>
      </c>
      <c r="AE4" s="46" t="s">
        <v>12</v>
      </c>
      <c r="AF4" s="86">
        <f t="shared" ref="AF4:AF8" si="3">IF(AD4&lt;=0.15,1,0)</f>
        <v>1</v>
      </c>
      <c r="AG4" s="27">
        <v>0</v>
      </c>
      <c r="AH4" s="42">
        <v>355.6</v>
      </c>
      <c r="AI4" s="47"/>
      <c r="AJ4" s="49">
        <f t="shared" ref="AJ4:AJ8" si="4">AG4/(AH4+AI4)</f>
        <v>0</v>
      </c>
      <c r="AK4" s="46" t="s">
        <v>15</v>
      </c>
      <c r="AL4" s="86">
        <f t="shared" ref="AL4:AL8" si="5">IF(AJ4&lt;=1,1,0)</f>
        <v>1</v>
      </c>
      <c r="AM4" s="63">
        <v>956.6</v>
      </c>
      <c r="AN4" s="63">
        <v>1040</v>
      </c>
      <c r="AO4" s="51">
        <f t="shared" ref="AO4:AO8" si="6">AM4/AN4</f>
        <v>0.91980769230769233</v>
      </c>
      <c r="AP4" s="46" t="s">
        <v>15</v>
      </c>
      <c r="AQ4" s="86">
        <f t="shared" ref="AQ4:AQ8" si="7">IF(AO4&lt;=1,1,0)</f>
        <v>1</v>
      </c>
      <c r="AR4" s="50">
        <v>315.10000000000002</v>
      </c>
      <c r="AS4" s="50">
        <v>634.20000000000005</v>
      </c>
      <c r="AT4" s="51">
        <f t="shared" ref="AT4:AT8" si="8">AR4/AS4</f>
        <v>0.49684642068748031</v>
      </c>
      <c r="AU4" s="46" t="s">
        <v>15</v>
      </c>
      <c r="AV4" s="86">
        <f t="shared" ref="AV4:AV8" si="9">IF(AT4&lt;=1,1,0)</f>
        <v>1</v>
      </c>
      <c r="AW4" s="42">
        <v>174.4</v>
      </c>
      <c r="AX4" s="42">
        <v>287.3</v>
      </c>
      <c r="AY4" s="49">
        <f t="shared" ref="AY4:AY8" si="10">AW4/AX4</f>
        <v>0.60703097807170203</v>
      </c>
      <c r="AZ4" s="86">
        <f t="shared" ref="AZ4:AZ8" si="11">IF(AY4&lt;0.9,-1,IF(AY4&lt;=1.1,0,-1))</f>
        <v>-1</v>
      </c>
      <c r="BA4" s="50">
        <v>174.4</v>
      </c>
      <c r="BB4" s="50">
        <v>197</v>
      </c>
      <c r="BC4" s="55">
        <f>BA4/BB4</f>
        <v>0.88527918781725889</v>
      </c>
      <c r="BD4" s="46">
        <v>1.0705</v>
      </c>
      <c r="BE4" s="86">
        <f>IF(BC4&lt;BD4,-1,IF(BC4&gt;=BD4,0))</f>
        <v>-1</v>
      </c>
      <c r="BF4" s="47">
        <v>0</v>
      </c>
      <c r="BG4" s="47">
        <v>1E-4</v>
      </c>
      <c r="BH4" s="27">
        <f>BF4/BG4</f>
        <v>0</v>
      </c>
      <c r="BI4" s="86">
        <f>IF(BH4&lt;1,1,(IF(BH4=1,0,(IF(BH4&lt;=1.5,-1,-2)))))</f>
        <v>1</v>
      </c>
      <c r="BJ4" s="50">
        <v>1171.5999999999999</v>
      </c>
      <c r="BK4" s="43">
        <v>1346.4</v>
      </c>
      <c r="BL4" s="49">
        <f t="shared" ref="BL4:BL8" si="12">BJ4/BK4</f>
        <v>0.87017231134878181</v>
      </c>
      <c r="BM4" s="86">
        <f t="shared" ref="BM4:BM8" si="13">IF(BL4&gt;=0.9,1,IF(BL4&lt;0.9,0))</f>
        <v>0</v>
      </c>
      <c r="BN4" s="50">
        <v>786.5</v>
      </c>
      <c r="BO4" s="50">
        <v>539.5</v>
      </c>
      <c r="BP4" s="50"/>
      <c r="BQ4" s="50"/>
      <c r="BR4" s="49">
        <f>BQ4/(1.1*(BN4+BO4+BP4)/3)</f>
        <v>0</v>
      </c>
      <c r="BS4" s="86">
        <f t="shared" ref="BS4:BS8" si="14">IF(BR4&lt;0.5,0,IF(BR4&lt;0.7,0.5,IF(BR4&lt;=1.3,1,IF(BR4&lt;=1.5,0.5,0))))</f>
        <v>0</v>
      </c>
      <c r="BT4" s="47"/>
      <c r="BU4" s="85">
        <f t="shared" ref="BU4:BU8" si="15">IF(ISBLANK(BT4),0,-1)</f>
        <v>0</v>
      </c>
      <c r="BV4" s="91"/>
      <c r="BW4" s="85">
        <f t="shared" ref="BW4:BW8" si="16">IF(ISBLANK(BV4),0,-1)</f>
        <v>0</v>
      </c>
      <c r="BX4" s="91"/>
      <c r="BY4" s="86">
        <f t="shared" ref="BY4:BY8" si="17">IF(ISBLANK(BX4),0,-1)</f>
        <v>0</v>
      </c>
      <c r="BZ4" s="46"/>
      <c r="CA4" s="86">
        <f t="shared" ref="CA4:CA8" si="18">IF(ISBLANK(BZ4),0,-1)</f>
        <v>0</v>
      </c>
      <c r="CB4" s="46"/>
      <c r="CC4" s="86">
        <f t="shared" ref="CC4:CC8" si="19">IF(ISBLANK(CB4),0,-1)</f>
        <v>0</v>
      </c>
      <c r="CD4" s="99" t="s">
        <v>103</v>
      </c>
      <c r="CE4" s="94">
        <f>IF(ISBLANK(CD4),0,0.5)</f>
        <v>0.5</v>
      </c>
      <c r="CF4" s="97"/>
      <c r="CG4" s="86">
        <f t="shared" ref="CG4:CG8" si="20">IF(ISBLANK(CF4),0,-1)</f>
        <v>0</v>
      </c>
      <c r="CH4" s="98" t="s">
        <v>110</v>
      </c>
      <c r="CI4" s="96">
        <f>IF(ISBLANK(CH4),0,0.5)</f>
        <v>0.5</v>
      </c>
      <c r="CJ4" s="98"/>
      <c r="CK4" s="96">
        <f>IF(ISBLANK(CJ4),0,0.5)</f>
        <v>0</v>
      </c>
      <c r="CL4" s="92"/>
      <c r="CM4" s="92">
        <v>1</v>
      </c>
      <c r="CN4" s="92"/>
      <c r="CO4" s="92"/>
      <c r="CP4" s="92"/>
      <c r="CQ4" s="52">
        <f t="shared" ref="CQ4:CQ7" si="21">CL4+CM4+CN4+CO4+CP4</f>
        <v>1</v>
      </c>
      <c r="CR4" s="86">
        <f t="shared" ref="CR4:CR8" si="22">IF(CQ4=5,1,0)</f>
        <v>0</v>
      </c>
      <c r="CS4" s="46"/>
      <c r="CT4" s="86">
        <f>IF(ISBLANK(CS4),0,0.5)</f>
        <v>0</v>
      </c>
      <c r="CU4" s="104" t="s">
        <v>102</v>
      </c>
      <c r="CV4" s="86">
        <f t="shared" ref="CV4:CV8" si="23">IF(ISBLANK(CU4),0,1)</f>
        <v>1</v>
      </c>
    </row>
    <row r="5" spans="1:100" s="6" customFormat="1" ht="48.75" customHeight="1">
      <c r="A5" s="41" t="s">
        <v>52</v>
      </c>
      <c r="B5" s="41">
        <f>K5+U5+Z5+AF5+AL5+AQ5+AV5+AZ5+BE5+BI5+BM5+BS5+BU5+BW5+BY5+CA5+CC5+CE5+CG5+CI5+CK5+CR5+CT5+CV5</f>
        <v>10</v>
      </c>
      <c r="C5" s="41">
        <f>RANK(B5,B$4:B$8)</f>
        <v>2</v>
      </c>
      <c r="D5" s="42">
        <v>181.7</v>
      </c>
      <c r="E5" s="42">
        <v>1527.2</v>
      </c>
      <c r="F5" s="42">
        <v>1174.8</v>
      </c>
      <c r="G5" s="43">
        <v>0</v>
      </c>
      <c r="H5" s="43">
        <v>181.7</v>
      </c>
      <c r="I5" s="45">
        <f>(D5-H5)/(E5-F5-G5)</f>
        <v>0</v>
      </c>
      <c r="J5" s="46" t="s">
        <v>11</v>
      </c>
      <c r="K5" s="86">
        <f>IF(I5&lt;=0.05,1,0)</f>
        <v>1</v>
      </c>
      <c r="L5" s="42">
        <v>0</v>
      </c>
      <c r="M5" s="47"/>
      <c r="N5" s="42">
        <v>2863.3</v>
      </c>
      <c r="O5" s="42"/>
      <c r="P5" s="42">
        <v>2273.8000000000002</v>
      </c>
      <c r="Q5" s="47"/>
      <c r="R5" s="44">
        <v>0</v>
      </c>
      <c r="S5" s="48">
        <f>(L5-R5)/(N5-P5-R5)</f>
        <v>0</v>
      </c>
      <c r="T5" s="46" t="s">
        <v>14</v>
      </c>
      <c r="U5" s="86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6">
        <f t="shared" si="1"/>
        <v>1</v>
      </c>
      <c r="AA5" s="47">
        <v>0</v>
      </c>
      <c r="AB5" s="43">
        <v>1193.2</v>
      </c>
      <c r="AC5" s="42">
        <v>29</v>
      </c>
      <c r="AD5" s="49">
        <f t="shared" si="2"/>
        <v>0</v>
      </c>
      <c r="AE5" s="46" t="s">
        <v>12</v>
      </c>
      <c r="AF5" s="86">
        <f t="shared" si="3"/>
        <v>1</v>
      </c>
      <c r="AG5" s="43">
        <v>0</v>
      </c>
      <c r="AH5" s="42">
        <v>181.7</v>
      </c>
      <c r="AI5" s="47"/>
      <c r="AJ5" s="49">
        <f t="shared" si="4"/>
        <v>0</v>
      </c>
      <c r="AK5" s="46" t="s">
        <v>15</v>
      </c>
      <c r="AL5" s="86">
        <f t="shared" si="5"/>
        <v>1</v>
      </c>
      <c r="AM5" s="63">
        <v>1391.7</v>
      </c>
      <c r="AN5" s="63">
        <v>1478</v>
      </c>
      <c r="AO5" s="51">
        <f t="shared" si="6"/>
        <v>0.94161028416779435</v>
      </c>
      <c r="AP5" s="46" t="s">
        <v>15</v>
      </c>
      <c r="AQ5" s="86">
        <f t="shared" si="7"/>
        <v>1</v>
      </c>
      <c r="AR5" s="50">
        <v>429.9</v>
      </c>
      <c r="AS5" s="50">
        <v>893.8</v>
      </c>
      <c r="AT5" s="51">
        <f t="shared" si="8"/>
        <v>0.48098008503020812</v>
      </c>
      <c r="AU5" s="46" t="s">
        <v>15</v>
      </c>
      <c r="AV5" s="86">
        <f t="shared" si="9"/>
        <v>1</v>
      </c>
      <c r="AW5" s="42">
        <v>253.2</v>
      </c>
      <c r="AX5" s="42">
        <v>590.79999999999995</v>
      </c>
      <c r="AY5" s="49">
        <f t="shared" si="10"/>
        <v>0.4285714285714286</v>
      </c>
      <c r="AZ5" s="86">
        <f t="shared" si="11"/>
        <v>-1</v>
      </c>
      <c r="BA5" s="50">
        <v>253.2</v>
      </c>
      <c r="BB5" s="50">
        <v>358.7</v>
      </c>
      <c r="BC5" s="55">
        <f>BA5/BB5</f>
        <v>0.70588235294117652</v>
      </c>
      <c r="BD5" s="46">
        <v>1.0705</v>
      </c>
      <c r="BE5" s="86">
        <f>IF(BC5&lt;BD5,-1,IF(BC5&gt;=BD5,0))</f>
        <v>-1</v>
      </c>
      <c r="BF5" s="47">
        <v>0</v>
      </c>
      <c r="BG5" s="47">
        <v>1E-4</v>
      </c>
      <c r="BH5" s="27">
        <f>BF5/BG5</f>
        <v>0</v>
      </c>
      <c r="BI5" s="86">
        <f>IF(BH5&lt;1,1,(IF(BH5=1,0,(IF(BH5&lt;=1.5,-1,-2)))))</f>
        <v>1</v>
      </c>
      <c r="BJ5" s="50">
        <v>1273</v>
      </c>
      <c r="BK5" s="43">
        <v>1417.9</v>
      </c>
      <c r="BL5" s="49">
        <f t="shared" si="12"/>
        <v>0.89780661541716622</v>
      </c>
      <c r="BM5" s="86">
        <f t="shared" si="13"/>
        <v>0</v>
      </c>
      <c r="BN5" s="50">
        <v>779.7</v>
      </c>
      <c r="BO5" s="50">
        <v>619.4</v>
      </c>
      <c r="BP5" s="50"/>
      <c r="BQ5" s="50"/>
      <c r="BR5" s="49">
        <f>BQ5/(1.1*(BN5+BO5+BP5)/3)</f>
        <v>0</v>
      </c>
      <c r="BS5" s="86">
        <f t="shared" si="14"/>
        <v>0</v>
      </c>
      <c r="BT5" s="47"/>
      <c r="BU5" s="85">
        <f t="shared" si="15"/>
        <v>0</v>
      </c>
      <c r="BV5" s="91"/>
      <c r="BW5" s="85">
        <f t="shared" si="16"/>
        <v>0</v>
      </c>
      <c r="BX5" s="91"/>
      <c r="BY5" s="86">
        <f t="shared" si="17"/>
        <v>0</v>
      </c>
      <c r="BZ5" s="46"/>
      <c r="CA5" s="86">
        <f t="shared" si="18"/>
        <v>0</v>
      </c>
      <c r="CB5" s="46"/>
      <c r="CC5" s="86">
        <f t="shared" si="19"/>
        <v>0</v>
      </c>
      <c r="CD5" s="99" t="s">
        <v>99</v>
      </c>
      <c r="CE5" s="94">
        <f>IF(ISBLANK(CD5),0,0.5)</f>
        <v>0.5</v>
      </c>
      <c r="CF5" s="97"/>
      <c r="CG5" s="86">
        <f t="shared" si="20"/>
        <v>0</v>
      </c>
      <c r="CH5" s="98" t="s">
        <v>111</v>
      </c>
      <c r="CI5" s="96">
        <f>IF(ISBLANK(CH5),0,0.5)</f>
        <v>0.5</v>
      </c>
      <c r="CJ5" s="98" t="s">
        <v>112</v>
      </c>
      <c r="CK5" s="96">
        <f>IF(ISBLANK(CJ5),0,0.5)</f>
        <v>0.5</v>
      </c>
      <c r="CL5" s="92">
        <v>1</v>
      </c>
      <c r="CM5" s="92">
        <v>1</v>
      </c>
      <c r="CN5" s="92">
        <v>1</v>
      </c>
      <c r="CO5" s="92">
        <v>1</v>
      </c>
      <c r="CP5" s="92">
        <v>1</v>
      </c>
      <c r="CQ5" s="52">
        <f t="shared" si="21"/>
        <v>5</v>
      </c>
      <c r="CR5" s="86">
        <f t="shared" si="22"/>
        <v>1</v>
      </c>
      <c r="CS5" s="105" t="s">
        <v>122</v>
      </c>
      <c r="CT5" s="86">
        <f>IF(ISBLANK(CS5),0,0.5)</f>
        <v>0.5</v>
      </c>
      <c r="CU5" s="104" t="s">
        <v>102</v>
      </c>
      <c r="CV5" s="86">
        <f t="shared" si="23"/>
        <v>1</v>
      </c>
    </row>
    <row r="6" spans="1:100" s="6" customFormat="1" ht="56.25" customHeight="1">
      <c r="A6" s="41" t="s">
        <v>53</v>
      </c>
      <c r="B6" s="41">
        <f>K6+U6+Z6+AF6+AL6+AQ6+AV6+AZ6+BE6+BI6+BM6+BS6+BU6+BW6+BY6+CA6+CC6+CE6+CG6+CI6+CK6+CR6+CT6+CV6</f>
        <v>10</v>
      </c>
      <c r="C6" s="41">
        <f>RANK(B6,B$4:B$8)</f>
        <v>2</v>
      </c>
      <c r="D6" s="42">
        <v>243</v>
      </c>
      <c r="E6" s="42">
        <v>1580.8</v>
      </c>
      <c r="F6" s="42">
        <v>831</v>
      </c>
      <c r="G6" s="43">
        <v>0</v>
      </c>
      <c r="H6" s="43">
        <v>243</v>
      </c>
      <c r="I6" s="45">
        <f>(D6-H6)/(E6-F6-G6)</f>
        <v>0</v>
      </c>
      <c r="J6" s="46" t="s">
        <v>11</v>
      </c>
      <c r="K6" s="86">
        <f>IF(I6&lt;=0.05,1,0)</f>
        <v>1</v>
      </c>
      <c r="L6" s="42">
        <v>0</v>
      </c>
      <c r="M6" s="47"/>
      <c r="N6" s="42">
        <v>2403.6</v>
      </c>
      <c r="O6" s="53"/>
      <c r="P6" s="42">
        <v>1818.3</v>
      </c>
      <c r="Q6" s="47"/>
      <c r="R6" s="44">
        <v>0</v>
      </c>
      <c r="S6" s="48">
        <f>(L6-R6)/(N6-P6-R6)</f>
        <v>0</v>
      </c>
      <c r="T6" s="46" t="s">
        <v>14</v>
      </c>
      <c r="U6" s="86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6">
        <f t="shared" si="1"/>
        <v>1</v>
      </c>
      <c r="AA6" s="47">
        <v>0</v>
      </c>
      <c r="AB6" s="43">
        <v>1662.8</v>
      </c>
      <c r="AC6" s="47">
        <v>21.9</v>
      </c>
      <c r="AD6" s="49">
        <f t="shared" si="2"/>
        <v>0</v>
      </c>
      <c r="AE6" s="46" t="s">
        <v>12</v>
      </c>
      <c r="AF6" s="86">
        <f t="shared" si="3"/>
        <v>1</v>
      </c>
      <c r="AG6" s="43">
        <v>0</v>
      </c>
      <c r="AH6" s="42">
        <v>243</v>
      </c>
      <c r="AI6" s="42"/>
      <c r="AJ6" s="49">
        <f t="shared" si="4"/>
        <v>0</v>
      </c>
      <c r="AK6" s="46" t="s">
        <v>15</v>
      </c>
      <c r="AL6" s="86">
        <f t="shared" si="5"/>
        <v>1</v>
      </c>
      <c r="AM6" s="63">
        <v>1107.9000000000001</v>
      </c>
      <c r="AN6" s="63">
        <v>1305</v>
      </c>
      <c r="AO6" s="51">
        <f t="shared" si="6"/>
        <v>0.84896551724137936</v>
      </c>
      <c r="AP6" s="46" t="s">
        <v>15</v>
      </c>
      <c r="AQ6" s="86">
        <f t="shared" si="7"/>
        <v>1</v>
      </c>
      <c r="AR6" s="50">
        <v>329.2</v>
      </c>
      <c r="AS6" s="50">
        <v>814.2</v>
      </c>
      <c r="AT6" s="51">
        <f t="shared" si="8"/>
        <v>0.40432326209776465</v>
      </c>
      <c r="AU6" s="46" t="s">
        <v>15</v>
      </c>
      <c r="AV6" s="86">
        <f t="shared" si="9"/>
        <v>1</v>
      </c>
      <c r="AW6" s="42">
        <v>400.6</v>
      </c>
      <c r="AX6" s="42">
        <v>779.4</v>
      </c>
      <c r="AY6" s="49">
        <f t="shared" si="10"/>
        <v>0.5139851167564794</v>
      </c>
      <c r="AZ6" s="86">
        <f t="shared" si="11"/>
        <v>-1</v>
      </c>
      <c r="BA6" s="50">
        <v>400.6</v>
      </c>
      <c r="BB6" s="50">
        <v>386.7</v>
      </c>
      <c r="BC6" s="55">
        <f>BA6/BB6</f>
        <v>1.0359451771399018</v>
      </c>
      <c r="BD6" s="46">
        <v>1.0705</v>
      </c>
      <c r="BE6" s="86">
        <f>IF(BC6&lt;BD6,-1,IF(BC6&gt;=BD6,0))</f>
        <v>-1</v>
      </c>
      <c r="BF6" s="47">
        <v>0</v>
      </c>
      <c r="BG6" s="47">
        <v>1E-4</v>
      </c>
      <c r="BH6" s="27">
        <f>BF6/BG6</f>
        <v>0</v>
      </c>
      <c r="BI6" s="86">
        <f>IF(BH6&lt;1,1,(IF(BH6=1,0,(IF(BH6&lt;=1.5,-1,-2)))))</f>
        <v>1</v>
      </c>
      <c r="BJ6" s="50">
        <v>1159.7</v>
      </c>
      <c r="BK6" s="43">
        <v>1387.5</v>
      </c>
      <c r="BL6" s="49">
        <f t="shared" si="12"/>
        <v>0.8358198198198199</v>
      </c>
      <c r="BM6" s="86">
        <f t="shared" si="13"/>
        <v>0</v>
      </c>
      <c r="BN6" s="50">
        <v>681.4</v>
      </c>
      <c r="BO6" s="50">
        <v>687.9</v>
      </c>
      <c r="BP6" s="50"/>
      <c r="BQ6" s="50"/>
      <c r="BR6" s="49">
        <f t="shared" ref="BR6:BR8" si="24">BQ6/(1.1*(BN6+BO6+BP6)/3)</f>
        <v>0</v>
      </c>
      <c r="BS6" s="86">
        <f t="shared" si="14"/>
        <v>0</v>
      </c>
      <c r="BT6" s="47"/>
      <c r="BU6" s="85">
        <f t="shared" si="15"/>
        <v>0</v>
      </c>
      <c r="BV6" s="91"/>
      <c r="BW6" s="85">
        <f t="shared" si="16"/>
        <v>0</v>
      </c>
      <c r="BX6" s="91"/>
      <c r="BY6" s="86">
        <f t="shared" si="17"/>
        <v>0</v>
      </c>
      <c r="BZ6" s="46"/>
      <c r="CA6" s="86">
        <f t="shared" si="18"/>
        <v>0</v>
      </c>
      <c r="CB6" s="46"/>
      <c r="CC6" s="86">
        <f t="shared" si="19"/>
        <v>0</v>
      </c>
      <c r="CD6" s="99" t="s">
        <v>108</v>
      </c>
      <c r="CE6" s="94">
        <f>IF(ISBLANK(CD6),0,0.5)</f>
        <v>0.5</v>
      </c>
      <c r="CF6" s="97"/>
      <c r="CG6" s="86">
        <f t="shared" si="20"/>
        <v>0</v>
      </c>
      <c r="CH6" s="98" t="s">
        <v>113</v>
      </c>
      <c r="CI6" s="96">
        <f>IF(ISBLANK(CH6),0,0.5)</f>
        <v>0.5</v>
      </c>
      <c r="CJ6" s="98" t="s">
        <v>114</v>
      </c>
      <c r="CK6" s="96">
        <f>IF(ISBLANK(CJ6),0,0.5)</f>
        <v>0.5</v>
      </c>
      <c r="CL6" s="92">
        <v>1</v>
      </c>
      <c r="CM6" s="92">
        <v>1</v>
      </c>
      <c r="CN6" s="92">
        <v>1</v>
      </c>
      <c r="CO6" s="92">
        <v>1</v>
      </c>
      <c r="CP6" s="92">
        <v>1</v>
      </c>
      <c r="CQ6" s="52">
        <f t="shared" si="21"/>
        <v>5</v>
      </c>
      <c r="CR6" s="86">
        <f t="shared" si="22"/>
        <v>1</v>
      </c>
      <c r="CS6" s="105" t="s">
        <v>115</v>
      </c>
      <c r="CT6" s="86">
        <f>IF(ISBLANK(CS6),0,0.5)</f>
        <v>0.5</v>
      </c>
      <c r="CU6" s="104" t="s">
        <v>109</v>
      </c>
      <c r="CV6" s="86">
        <f t="shared" si="23"/>
        <v>1</v>
      </c>
    </row>
    <row r="7" spans="1:100" s="6" customFormat="1" ht="60" customHeight="1">
      <c r="A7" s="41" t="s">
        <v>54</v>
      </c>
      <c r="B7" s="41">
        <f>K7+U7+Z7+AF7+AL7+AQ7+AV7+AZ7+BE7+BI7+BM7+BS7+BU7+BW7+BY7+CA7+CC7+CE7+CG7+CI7+CK7+CR7+CT7+CV7</f>
        <v>11.5</v>
      </c>
      <c r="C7" s="41">
        <f>RANK(B7,B$4:B$8)</f>
        <v>1</v>
      </c>
      <c r="D7" s="42">
        <v>383.7</v>
      </c>
      <c r="E7" s="42">
        <v>1854.1</v>
      </c>
      <c r="F7" s="42">
        <v>1383.3</v>
      </c>
      <c r="G7" s="43">
        <v>0</v>
      </c>
      <c r="H7" s="43">
        <v>383.7</v>
      </c>
      <c r="I7" s="45">
        <f>(D7-H7)/(E7-F7-G7)</f>
        <v>0</v>
      </c>
      <c r="J7" s="46" t="s">
        <v>11</v>
      </c>
      <c r="K7" s="86">
        <f>IF(I7&lt;=0.05,1,0)</f>
        <v>1</v>
      </c>
      <c r="L7" s="42">
        <v>0</v>
      </c>
      <c r="M7" s="47"/>
      <c r="N7" s="42">
        <v>1690.6</v>
      </c>
      <c r="O7" s="42"/>
      <c r="P7" s="42">
        <v>1462.8</v>
      </c>
      <c r="Q7" s="47"/>
      <c r="R7" s="44">
        <v>0</v>
      </c>
      <c r="S7" s="48">
        <f>(L7-R7)/(N7-P7-R7)</f>
        <v>0</v>
      </c>
      <c r="T7" s="46" t="s">
        <v>14</v>
      </c>
      <c r="U7" s="86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6">
        <f t="shared" si="1"/>
        <v>1</v>
      </c>
      <c r="AA7" s="47">
        <v>0</v>
      </c>
      <c r="AB7" s="43">
        <v>1445.8</v>
      </c>
      <c r="AC7" s="42">
        <v>24</v>
      </c>
      <c r="AD7" s="49">
        <f t="shared" si="2"/>
        <v>0</v>
      </c>
      <c r="AE7" s="46" t="s">
        <v>12</v>
      </c>
      <c r="AF7" s="86">
        <f t="shared" si="3"/>
        <v>1</v>
      </c>
      <c r="AG7" s="43">
        <v>0</v>
      </c>
      <c r="AH7" s="42">
        <v>383.7</v>
      </c>
      <c r="AI7" s="54"/>
      <c r="AJ7" s="49">
        <f t="shared" si="4"/>
        <v>0</v>
      </c>
      <c r="AK7" s="46" t="s">
        <v>15</v>
      </c>
      <c r="AL7" s="86">
        <f t="shared" si="5"/>
        <v>1</v>
      </c>
      <c r="AM7" s="63">
        <v>1392.5</v>
      </c>
      <c r="AN7" s="63">
        <v>1550</v>
      </c>
      <c r="AO7" s="51">
        <f t="shared" si="6"/>
        <v>0.89838709677419359</v>
      </c>
      <c r="AP7" s="46" t="s">
        <v>15</v>
      </c>
      <c r="AQ7" s="86">
        <f t="shared" si="7"/>
        <v>1</v>
      </c>
      <c r="AR7" s="50">
        <v>448.2</v>
      </c>
      <c r="AS7" s="50">
        <v>901.1</v>
      </c>
      <c r="AT7" s="51">
        <f t="shared" si="8"/>
        <v>0.49739207635112637</v>
      </c>
      <c r="AU7" s="46" t="s">
        <v>15</v>
      </c>
      <c r="AV7" s="86">
        <f t="shared" si="9"/>
        <v>1</v>
      </c>
      <c r="AW7" s="42">
        <v>394.1</v>
      </c>
      <c r="AX7" s="42">
        <v>578.6</v>
      </c>
      <c r="AY7" s="49">
        <f t="shared" si="10"/>
        <v>0.68112685793294159</v>
      </c>
      <c r="AZ7" s="86">
        <f t="shared" si="11"/>
        <v>-1</v>
      </c>
      <c r="BA7" s="50">
        <v>394.1</v>
      </c>
      <c r="BB7" s="50">
        <v>321.8</v>
      </c>
      <c r="BC7" s="55">
        <f>BA7/BB7</f>
        <v>1.2246737103791174</v>
      </c>
      <c r="BD7" s="46">
        <v>1.0705</v>
      </c>
      <c r="BE7" s="86">
        <f>IF(BC7&lt;BD7,-1,IF(BC7&gt;=BD7,0))</f>
        <v>0</v>
      </c>
      <c r="BF7" s="47">
        <v>0</v>
      </c>
      <c r="BG7" s="47">
        <v>1E-4</v>
      </c>
      <c r="BH7" s="27">
        <f>BF7/BG7</f>
        <v>0</v>
      </c>
      <c r="BI7" s="86">
        <f>IF(BH7&lt;1,1,(IF(BH7=1,0,(IF(BH7&lt;=1.5,-1,-2)))))</f>
        <v>1</v>
      </c>
      <c r="BJ7" s="50">
        <v>1675.3</v>
      </c>
      <c r="BK7" s="43">
        <v>1840.7</v>
      </c>
      <c r="BL7" s="51">
        <f t="shared" si="12"/>
        <v>0.91014288042592484</v>
      </c>
      <c r="BM7" s="86">
        <f t="shared" si="13"/>
        <v>1</v>
      </c>
      <c r="BN7" s="50">
        <v>1213.3</v>
      </c>
      <c r="BO7" s="50">
        <v>608.79999999999995</v>
      </c>
      <c r="BP7" s="50"/>
      <c r="BQ7" s="50"/>
      <c r="BR7" s="49">
        <f t="shared" si="24"/>
        <v>0</v>
      </c>
      <c r="BS7" s="86">
        <f t="shared" si="14"/>
        <v>0</v>
      </c>
      <c r="BT7" s="47"/>
      <c r="BU7" s="85">
        <f t="shared" si="15"/>
        <v>0</v>
      </c>
      <c r="BV7" s="91"/>
      <c r="BW7" s="85">
        <f t="shared" si="16"/>
        <v>0</v>
      </c>
      <c r="BX7" s="91"/>
      <c r="BY7" s="86">
        <f t="shared" si="17"/>
        <v>0</v>
      </c>
      <c r="BZ7" s="46"/>
      <c r="CA7" s="86">
        <f t="shared" si="18"/>
        <v>0</v>
      </c>
      <c r="CB7" s="46"/>
      <c r="CC7" s="86">
        <f t="shared" si="19"/>
        <v>0</v>
      </c>
      <c r="CD7" s="99" t="s">
        <v>100</v>
      </c>
      <c r="CE7" s="94">
        <f>IF(ISBLANK(CD7),0,0.5)</f>
        <v>0.5</v>
      </c>
      <c r="CF7" s="97"/>
      <c r="CG7" s="86">
        <f t="shared" si="20"/>
        <v>0</v>
      </c>
      <c r="CH7" s="98" t="s">
        <v>120</v>
      </c>
      <c r="CI7" s="96">
        <f>IF(ISBLANK(CH7),0,0.5)</f>
        <v>0.5</v>
      </c>
      <c r="CJ7" s="98" t="s">
        <v>116</v>
      </c>
      <c r="CK7" s="96">
        <f>IF(ISBLANK(CJ7),0,0.5)</f>
        <v>0.5</v>
      </c>
      <c r="CL7" s="92">
        <v>1</v>
      </c>
      <c r="CM7" s="92">
        <v>1</v>
      </c>
      <c r="CN7" s="92">
        <v>1</v>
      </c>
      <c r="CO7" s="92">
        <v>1</v>
      </c>
      <c r="CP7" s="92">
        <v>1</v>
      </c>
      <c r="CQ7" s="52">
        <f t="shared" si="21"/>
        <v>5</v>
      </c>
      <c r="CR7" s="86">
        <f t="shared" si="22"/>
        <v>1</v>
      </c>
      <c r="CS7" s="103"/>
      <c r="CT7" s="86">
        <f>IF(ISBLANK(CS7),0,0.5)</f>
        <v>0</v>
      </c>
      <c r="CU7" s="104" t="s">
        <v>102</v>
      </c>
      <c r="CV7" s="86">
        <f t="shared" si="23"/>
        <v>1</v>
      </c>
    </row>
    <row r="8" spans="1:100" s="6" customFormat="1" ht="48.75" customHeight="1">
      <c r="A8" s="41" t="s">
        <v>55</v>
      </c>
      <c r="B8" s="41">
        <f>K8+U8+Z8+AF8+AL8+AQ8+AV8+AZ8+BE8+BI8+BM8+BS8+BU8+BW8+BY8+CA8+CC8+CE8+CG8+CI8+CK8+CR8+CT8+CV8</f>
        <v>9</v>
      </c>
      <c r="C8" s="41">
        <f>RANK(B8,B$4:B$8)</f>
        <v>4</v>
      </c>
      <c r="D8" s="42">
        <v>499.8</v>
      </c>
      <c r="E8" s="43">
        <v>4323.8</v>
      </c>
      <c r="F8" s="42">
        <v>1559.5</v>
      </c>
      <c r="G8" s="43">
        <v>0</v>
      </c>
      <c r="H8" s="43">
        <v>499.8</v>
      </c>
      <c r="I8" s="45">
        <f>(D8-H8)/(E8-F8-G8)</f>
        <v>0</v>
      </c>
      <c r="J8" s="46" t="s">
        <v>11</v>
      </c>
      <c r="K8" s="86">
        <f t="shared" ref="K8" si="25">IF(I8&lt;=0.05,1,0)</f>
        <v>1</v>
      </c>
      <c r="L8" s="42">
        <v>0</v>
      </c>
      <c r="M8" s="47"/>
      <c r="N8" s="43">
        <v>6443.3</v>
      </c>
      <c r="O8" s="42"/>
      <c r="P8" s="42">
        <v>2234.9</v>
      </c>
      <c r="Q8" s="47"/>
      <c r="R8" s="44">
        <v>0</v>
      </c>
      <c r="S8" s="48">
        <f>(L8-R8)/(N8-P8-R8)</f>
        <v>0</v>
      </c>
      <c r="T8" s="46" t="s">
        <v>14</v>
      </c>
      <c r="U8" s="86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6">
        <f t="shared" si="1"/>
        <v>1</v>
      </c>
      <c r="AA8" s="47">
        <v>0</v>
      </c>
      <c r="AB8" s="43">
        <v>3313.8</v>
      </c>
      <c r="AC8" s="101">
        <v>63.9</v>
      </c>
      <c r="AD8" s="49">
        <f t="shared" si="2"/>
        <v>0</v>
      </c>
      <c r="AE8" s="46" t="s">
        <v>12</v>
      </c>
      <c r="AF8" s="86">
        <f t="shared" si="3"/>
        <v>1</v>
      </c>
      <c r="AG8" s="27">
        <v>0</v>
      </c>
      <c r="AH8" s="42">
        <v>499.8</v>
      </c>
      <c r="AI8" s="42">
        <v>0</v>
      </c>
      <c r="AJ8" s="49">
        <f t="shared" si="4"/>
        <v>0</v>
      </c>
      <c r="AK8" s="46" t="s">
        <v>15</v>
      </c>
      <c r="AL8" s="86">
        <f t="shared" si="5"/>
        <v>1</v>
      </c>
      <c r="AM8" s="63">
        <v>2731.4</v>
      </c>
      <c r="AN8" s="63">
        <v>2731.4</v>
      </c>
      <c r="AO8" s="51">
        <f t="shared" si="6"/>
        <v>1</v>
      </c>
      <c r="AP8" s="46" t="s">
        <v>15</v>
      </c>
      <c r="AQ8" s="86">
        <f t="shared" si="7"/>
        <v>1</v>
      </c>
      <c r="AR8" s="50">
        <v>887.6</v>
      </c>
      <c r="AS8" s="50">
        <v>1798.7</v>
      </c>
      <c r="AT8" s="51">
        <f t="shared" si="8"/>
        <v>0.49346750430866737</v>
      </c>
      <c r="AU8" s="46" t="s">
        <v>15</v>
      </c>
      <c r="AV8" s="86">
        <f t="shared" si="9"/>
        <v>1</v>
      </c>
      <c r="AW8" s="42">
        <v>2285.6999999999998</v>
      </c>
      <c r="AX8" s="42">
        <v>5989.9</v>
      </c>
      <c r="AY8" s="49">
        <f t="shared" si="10"/>
        <v>0.38159234711764806</v>
      </c>
      <c r="AZ8" s="86">
        <f t="shared" si="11"/>
        <v>-1</v>
      </c>
      <c r="BA8" s="50">
        <v>2285.6999999999998</v>
      </c>
      <c r="BB8" s="50">
        <v>2424.1</v>
      </c>
      <c r="BC8" s="55">
        <f>BA8/BB8</f>
        <v>0.9429066457654387</v>
      </c>
      <c r="BD8" s="46">
        <v>1.0705</v>
      </c>
      <c r="BE8" s="86">
        <f>IF(BC8&lt;BD8,-1,IF(BC8&gt;=BD8,0))</f>
        <v>-1</v>
      </c>
      <c r="BF8" s="47">
        <v>49.8</v>
      </c>
      <c r="BG8" s="47">
        <v>35</v>
      </c>
      <c r="BH8" s="27">
        <f>BF8/BG8</f>
        <v>1.4228571428571428</v>
      </c>
      <c r="BI8" s="86">
        <f>IF(BH8&lt;1,1,(IF(BH8=1,0,(IF(BH8&lt;=1.5,-1,-2)))))</f>
        <v>-1</v>
      </c>
      <c r="BJ8" s="50">
        <v>3696.7</v>
      </c>
      <c r="BK8" s="43">
        <v>3955.7</v>
      </c>
      <c r="BL8" s="51">
        <f t="shared" si="12"/>
        <v>0.93452486285613168</v>
      </c>
      <c r="BM8" s="86">
        <f t="shared" si="13"/>
        <v>1</v>
      </c>
      <c r="BN8" s="50">
        <v>1288</v>
      </c>
      <c r="BO8" s="50">
        <v>2610.9</v>
      </c>
      <c r="BP8" s="50"/>
      <c r="BQ8" s="50"/>
      <c r="BR8" s="49">
        <f t="shared" si="24"/>
        <v>0</v>
      </c>
      <c r="BS8" s="86">
        <f t="shared" si="14"/>
        <v>0</v>
      </c>
      <c r="BT8" s="47"/>
      <c r="BU8" s="85">
        <f t="shared" si="15"/>
        <v>0</v>
      </c>
      <c r="BV8" s="91"/>
      <c r="BW8" s="85">
        <f t="shared" si="16"/>
        <v>0</v>
      </c>
      <c r="BX8" s="91"/>
      <c r="BY8" s="86">
        <f t="shared" si="17"/>
        <v>0</v>
      </c>
      <c r="BZ8" s="46"/>
      <c r="CA8" s="86">
        <f t="shared" si="18"/>
        <v>0</v>
      </c>
      <c r="CB8" s="46"/>
      <c r="CC8" s="86">
        <f t="shared" si="19"/>
        <v>0</v>
      </c>
      <c r="CD8" s="99" t="s">
        <v>101</v>
      </c>
      <c r="CE8" s="94">
        <f>IF(ISBLANK(CD8),0,0.5)</f>
        <v>0.5</v>
      </c>
      <c r="CF8" s="97"/>
      <c r="CG8" s="86">
        <f t="shared" si="20"/>
        <v>0</v>
      </c>
      <c r="CH8" s="98" t="s">
        <v>117</v>
      </c>
      <c r="CI8" s="96">
        <f>IF(ISBLANK(CH8),0,0.5)</f>
        <v>0.5</v>
      </c>
      <c r="CJ8" s="98" t="s">
        <v>118</v>
      </c>
      <c r="CK8" s="96">
        <f>IF(ISBLANK(CJ8),0,0.5)</f>
        <v>0.5</v>
      </c>
      <c r="CL8" s="92">
        <v>1</v>
      </c>
      <c r="CM8" s="92">
        <v>1</v>
      </c>
      <c r="CN8" s="92">
        <v>1</v>
      </c>
      <c r="CO8" s="92">
        <v>1</v>
      </c>
      <c r="CP8" s="92">
        <v>1</v>
      </c>
      <c r="CQ8" s="52">
        <f>CP8+CL8+CM8+CN8+CO8</f>
        <v>5</v>
      </c>
      <c r="CR8" s="87">
        <f t="shared" si="22"/>
        <v>1</v>
      </c>
      <c r="CS8" s="105" t="s">
        <v>123</v>
      </c>
      <c r="CT8" s="86">
        <f>IF(ISBLANK(CS8),0,0.5)</f>
        <v>0.5</v>
      </c>
      <c r="CU8" s="103" t="s">
        <v>119</v>
      </c>
      <c r="CV8" s="86">
        <f t="shared" si="23"/>
        <v>1</v>
      </c>
    </row>
    <row r="9" spans="1:100" s="11" customFormat="1" ht="12" customHeight="1">
      <c r="A9" s="102" t="s">
        <v>56</v>
      </c>
      <c r="B9" s="56"/>
      <c r="C9" s="57"/>
      <c r="D9" s="57">
        <f>SUM(D4:D8)</f>
        <v>1663.8</v>
      </c>
      <c r="E9" s="57">
        <f>SUM(E4:E8)</f>
        <v>10498.099999999999</v>
      </c>
      <c r="F9" s="57">
        <f>SUM(F4:F8)</f>
        <v>5806.4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14919.8</v>
      </c>
      <c r="O9" s="57">
        <f t="shared" si="27"/>
        <v>0</v>
      </c>
      <c r="P9" s="57">
        <f t="shared" si="27"/>
        <v>8853.5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9050.7999999999993</v>
      </c>
      <c r="AC9" s="57">
        <f>SUM(AC4:AC8)</f>
        <v>161.4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1663.8</v>
      </c>
      <c r="AI9" s="57">
        <f>SUM(AI4:AI8)</f>
        <v>0</v>
      </c>
      <c r="AJ9" s="57"/>
      <c r="AK9" s="57"/>
      <c r="AL9" s="57"/>
      <c r="AM9" s="57">
        <f>SUM(AM4:AM8)</f>
        <v>7580.1</v>
      </c>
      <c r="AN9" s="57">
        <f>SUM(AN4:AN8)</f>
        <v>8104.4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3508</v>
      </c>
      <c r="AX9" s="58">
        <f>SUM(AX4:AX8)</f>
        <v>8226</v>
      </c>
      <c r="AY9" s="59"/>
      <c r="AZ9" s="57"/>
      <c r="BA9" s="57">
        <f>SUM(BA4:BA8)</f>
        <v>3508</v>
      </c>
      <c r="BB9" s="57">
        <f>SUM(BB4:BB8)</f>
        <v>3688.3</v>
      </c>
      <c r="BC9" s="57">
        <f>SUM(BC4:BC8)</f>
        <v>4.7946870740428933</v>
      </c>
      <c r="BD9" s="57">
        <v>0</v>
      </c>
      <c r="BE9" s="57"/>
      <c r="BF9" s="57"/>
      <c r="BG9" s="57"/>
      <c r="BH9" s="57"/>
      <c r="BI9" s="57"/>
      <c r="BJ9" s="57">
        <f>SUM(BJ4:BJ8)</f>
        <v>8976.2999999999993</v>
      </c>
      <c r="BK9" s="57">
        <f>SUM(BK4:BK8)</f>
        <v>9948.2000000000007</v>
      </c>
      <c r="BL9" s="57"/>
      <c r="BM9" s="57"/>
      <c r="BN9" s="57">
        <f>SUM(BN4:BN8)</f>
        <v>4748.8999999999996</v>
      </c>
      <c r="BO9" s="57">
        <f>SUM(BO4:BO8)</f>
        <v>5066.5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J2:CK2"/>
    <mergeCell ref="CH2:CI2"/>
    <mergeCell ref="CF2:CG2"/>
    <mergeCell ref="D2:K2"/>
    <mergeCell ref="L2:U2"/>
    <mergeCell ref="AA2:AF2"/>
    <mergeCell ref="AM2:AQ2"/>
    <mergeCell ref="BA2:BE2"/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01.07.2016</vt:lpstr>
      <vt:lpstr>'01.07.2016'!Заголовки_для_печати</vt:lpstr>
      <vt:lpstr>'01.07.2016'!Область_печати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2015-04-24T10:41:07Z</cp:lastPrinted>
  <dcterms:created xsi:type="dcterms:W3CDTF">2009-01-27T10:52:16Z</dcterms:created>
  <dcterms:modified xsi:type="dcterms:W3CDTF">2016-07-25T11:50:51Z</dcterms:modified>
</cp:coreProperties>
</file>